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5340" yWindow="280" windowWidth="16700" windowHeight="182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1" l="1"/>
  <c r="J18" i="1"/>
  <c r="C18" i="1"/>
  <c r="H18" i="1"/>
  <c r="G18" i="1"/>
  <c r="F18" i="1"/>
  <c r="E18" i="1"/>
  <c r="D18" i="1"/>
  <c r="C3" i="1"/>
  <c r="D6" i="1"/>
  <c r="D7" i="1"/>
  <c r="D8" i="1"/>
  <c r="D9" i="1"/>
  <c r="D10" i="1"/>
  <c r="D11" i="1"/>
  <c r="D12" i="1"/>
  <c r="D13" i="1"/>
  <c r="D3" i="1"/>
  <c r="F6" i="1"/>
  <c r="F7" i="1"/>
  <c r="F8" i="1"/>
  <c r="F9" i="1"/>
  <c r="F10" i="1"/>
  <c r="F11" i="1"/>
  <c r="F12" i="1"/>
  <c r="F13" i="1"/>
  <c r="F3" i="1"/>
  <c r="C13" i="1"/>
  <c r="G13" i="1"/>
  <c r="C6" i="1"/>
  <c r="C7" i="1"/>
  <c r="C8" i="1"/>
  <c r="C9" i="1"/>
  <c r="C10" i="1"/>
  <c r="C11" i="1"/>
  <c r="C12" i="1"/>
  <c r="B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3" i="1"/>
  <c r="E3" i="1"/>
</calcChain>
</file>

<file path=xl/sharedStrings.xml><?xml version="1.0" encoding="utf-8"?>
<sst xmlns="http://schemas.openxmlformats.org/spreadsheetml/2006/main" count="21" uniqueCount="21">
  <si>
    <t>ELECTRON CHARGE  CALCULATOR</t>
  </si>
  <si>
    <t>NPTS</t>
  </si>
  <si>
    <t>xavg</t>
  </si>
  <si>
    <t>yavg</t>
  </si>
  <si>
    <t>sumxy</t>
  </si>
  <si>
    <t>sumxx</t>
  </si>
  <si>
    <t>sumyy</t>
  </si>
  <si>
    <t>Chi-square</t>
  </si>
  <si>
    <t>y-VRC(volts)</t>
  </si>
  <si>
    <t>VB</t>
  </si>
  <si>
    <t>ln(VRC)</t>
  </si>
  <si>
    <t>T-degC</t>
  </si>
  <si>
    <t>y=a + bx</t>
  </si>
  <si>
    <t>b</t>
  </si>
  <si>
    <t>a</t>
  </si>
  <si>
    <t>sig_b</t>
  </si>
  <si>
    <t>sig_a</t>
  </si>
  <si>
    <t>S</t>
  </si>
  <si>
    <t>e=</t>
  </si>
  <si>
    <t>R2</t>
  </si>
  <si>
    <t>sig_e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</si>
</sst>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E+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</font>
    <font>
      <b/>
      <sz val="14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6" fontId="2" fillId="2" borderId="5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1" fontId="0" fillId="3" borderId="5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5" fontId="0" fillId="3" borderId="5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7662467191601"/>
                  <c:y val="0.0"/>
                </c:manualLayout>
              </c:layout>
              <c:numFmt formatCode="General" sourceLinked="0"/>
            </c:trendlineLbl>
          </c:trendline>
          <c:xVal>
            <c:numRef>
              <c:f>Sheet1!$B$6:$B$13</c:f>
              <c:numCache>
                <c:formatCode>0.000</c:formatCode>
                <c:ptCount val="8"/>
                <c:pt idx="0">
                  <c:v>0.36</c:v>
                </c:pt>
                <c:pt idx="1">
                  <c:v>0.4</c:v>
                </c:pt>
                <c:pt idx="2">
                  <c:v>0.43</c:v>
                </c:pt>
                <c:pt idx="3">
                  <c:v>0.46</c:v>
                </c:pt>
                <c:pt idx="4">
                  <c:v>0.5</c:v>
                </c:pt>
                <c:pt idx="5">
                  <c:v>0.53</c:v>
                </c:pt>
                <c:pt idx="6">
                  <c:v>0.56</c:v>
                </c:pt>
                <c:pt idx="7">
                  <c:v>0.6</c:v>
                </c:pt>
              </c:numCache>
            </c:numRef>
          </c:xVal>
          <c:yVal>
            <c:numRef>
              <c:f>Sheet1!$C$6:$C$13</c:f>
              <c:numCache>
                <c:formatCode>General</c:formatCode>
                <c:ptCount val="8"/>
                <c:pt idx="0">
                  <c:v>-7.902007552326004</c:v>
                </c:pt>
                <c:pt idx="1">
                  <c:v>-5.521460917862246</c:v>
                </c:pt>
                <c:pt idx="2">
                  <c:v>-4.961845129926823</c:v>
                </c:pt>
                <c:pt idx="3">
                  <c:v>-3.963316299815696</c:v>
                </c:pt>
                <c:pt idx="4">
                  <c:v>-2.430418464503931</c:v>
                </c:pt>
                <c:pt idx="5">
                  <c:v>-1.30195321268614</c:v>
                </c:pt>
                <c:pt idx="6">
                  <c:v>-0.109814866007207</c:v>
                </c:pt>
                <c:pt idx="7">
                  <c:v>1.490654376444134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981416"/>
        <c:axId val="2124506232"/>
      </c:scatterChart>
      <c:valAx>
        <c:axId val="-2127981416"/>
        <c:scaling>
          <c:orientation val="minMax"/>
          <c:min val="0.3"/>
        </c:scaling>
        <c:delete val="0"/>
        <c:axPos val="b"/>
        <c:numFmt formatCode="0.000" sourceLinked="1"/>
        <c:majorTickMark val="out"/>
        <c:minorTickMark val="none"/>
        <c:tickLblPos val="nextTo"/>
        <c:crossAx val="2124506232"/>
        <c:crosses val="autoZero"/>
        <c:crossBetween val="midCat"/>
      </c:valAx>
      <c:valAx>
        <c:axId val="2124506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79814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6350</xdr:rowOff>
    </xdr:from>
    <xdr:to>
      <xdr:col>6</xdr:col>
      <xdr:colOff>444500</xdr:colOff>
      <xdr:row>33</xdr:row>
      <xdr:rowOff>82550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showRuler="0" workbookViewId="0">
      <selection activeCell="J27" sqref="J27"/>
    </sheetView>
  </sheetViews>
  <sheetFormatPr baseColWidth="10" defaultRowHeight="15" x14ac:dyDescent="0"/>
  <cols>
    <col min="8" max="9" width="11" bestFit="1" customWidth="1"/>
  </cols>
  <sheetData>
    <row r="1" spans="1:9" ht="18">
      <c r="A1" s="16"/>
      <c r="B1" s="17" t="s">
        <v>0</v>
      </c>
      <c r="C1" s="18"/>
      <c r="D1" s="19"/>
      <c r="E1" s="20"/>
      <c r="F1" s="1"/>
      <c r="G1" s="1"/>
    </row>
    <row r="2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9">
      <c r="A3" s="10">
        <v>8</v>
      </c>
      <c r="B3" s="11">
        <f>SUM(B6:B13)/A3</f>
        <v>0.48</v>
      </c>
      <c r="C3" s="4">
        <f>SUM(C6:C13)/A3</f>
        <v>-3.087520258335489</v>
      </c>
      <c r="D3" s="4">
        <f>SUM(D6:D13)</f>
        <v>1.7737036681690892</v>
      </c>
      <c r="E3" s="4">
        <f>SUM(E6:E13)</f>
        <v>4.7400000000000012E-2</v>
      </c>
      <c r="F3" s="5">
        <f>SUM(F6:F13)</f>
        <v>66.829912300637986</v>
      </c>
      <c r="G3" s="4">
        <f>SUM(G6:G13)</f>
        <v>0.45808313446747423</v>
      </c>
    </row>
    <row r="4" spans="1:9">
      <c r="A4" s="12"/>
      <c r="B4" s="12"/>
      <c r="C4" s="1"/>
      <c r="D4" s="1"/>
      <c r="E4" s="1"/>
      <c r="F4" s="1"/>
      <c r="G4" s="1"/>
    </row>
    <row r="5" spans="1:9">
      <c r="A5" s="13" t="s">
        <v>8</v>
      </c>
      <c r="B5" s="13" t="s">
        <v>9</v>
      </c>
      <c r="C5" s="6" t="s">
        <v>10</v>
      </c>
      <c r="D5" s="1"/>
      <c r="E5" s="1"/>
      <c r="F5" s="1"/>
      <c r="G5" s="1"/>
    </row>
    <row r="6" spans="1:9">
      <c r="A6" s="14">
        <v>3.6999999999999999E-4</v>
      </c>
      <c r="B6" s="23">
        <v>0.36</v>
      </c>
      <c r="C6" s="4">
        <f>LN(A6)</f>
        <v>-7.9020075523260038</v>
      </c>
      <c r="D6" s="4">
        <f>(B6-$B$3)*(C6-$C$3)</f>
        <v>0.5777384752788618</v>
      </c>
      <c r="E6" s="4">
        <f>(B6-$B$3)^2</f>
        <v>1.44E-2</v>
      </c>
      <c r="F6" s="5">
        <f>(C6-$C$3)^2</f>
        <v>23.179287903996112</v>
      </c>
      <c r="G6" s="4">
        <f>(C6-($D$18+$C$18*B6))^2</f>
        <v>0.10503968255703557</v>
      </c>
    </row>
    <row r="7" spans="1:9">
      <c r="A7" s="14">
        <v>4.0000000000000001E-3</v>
      </c>
      <c r="B7" s="23">
        <v>0.4</v>
      </c>
      <c r="C7" s="4">
        <f>LN(A7)</f>
        <v>-5.521460917862246</v>
      </c>
      <c r="D7" s="4">
        <f>(B7-$B$3)*(C7-$C$3)</f>
        <v>0.19471525276214047</v>
      </c>
      <c r="E7" s="4">
        <f>(B7-$B$3)^2</f>
        <v>6.3999999999999934E-3</v>
      </c>
      <c r="F7" s="5">
        <f>(C7-$C$3)^2</f>
        <v>5.9240671340975446</v>
      </c>
      <c r="G7" s="4">
        <f>(C7-($D$18+$C$18*B7))^2</f>
        <v>0.3132103939737278</v>
      </c>
    </row>
    <row r="8" spans="1:9">
      <c r="A8" s="14">
        <v>7.0000000000000001E-3</v>
      </c>
      <c r="B8" s="23">
        <v>0.43</v>
      </c>
      <c r="C8" s="4">
        <f>LN(A8)</f>
        <v>-4.9618451299268234</v>
      </c>
      <c r="D8" s="4">
        <f>(B8-$B$3)*(C8-$C$3)</f>
        <v>9.3716243579566691E-2</v>
      </c>
      <c r="E8" s="4">
        <f>(B8-$B$3)^2</f>
        <v>2.4999999999999988E-3</v>
      </c>
      <c r="F8" s="5">
        <f>(C8-$C$3)^2</f>
        <v>3.5130937242658717</v>
      </c>
      <c r="G8" s="4">
        <f>(C8-($D$18+$C$18*B8))^2</f>
        <v>1.1085177593722134E-5</v>
      </c>
    </row>
    <row r="9" spans="1:9">
      <c r="A9" s="14">
        <v>1.9E-2</v>
      </c>
      <c r="B9" s="23">
        <v>0.46</v>
      </c>
      <c r="C9" s="4">
        <f>LN(A9)</f>
        <v>-3.9633162998156966</v>
      </c>
      <c r="D9" s="4">
        <f>(B9-$B$3)*(C9-$C$3)</f>
        <v>1.7515920829604119E-2</v>
      </c>
      <c r="E9" s="4">
        <f>(B9-$B$3)^2</f>
        <v>3.999999999999985E-4</v>
      </c>
      <c r="F9" s="5">
        <f>(C9-$C$3)^2</f>
        <v>0.76701870627240132</v>
      </c>
      <c r="G9" s="4">
        <f>(C9-($D$18+$C$18*B9))^2</f>
        <v>1.6230217091214819E-2</v>
      </c>
    </row>
    <row r="10" spans="1:9">
      <c r="A10" s="14">
        <v>8.7999999999999995E-2</v>
      </c>
      <c r="B10" s="23">
        <v>0.5</v>
      </c>
      <c r="C10" s="4">
        <f>LN(A10)</f>
        <v>-2.4304184645039308</v>
      </c>
      <c r="D10" s="4">
        <f>(B10-$B$3)*(C10-$C$3)</f>
        <v>1.3142035876631175E-2</v>
      </c>
      <c r="E10" s="4">
        <f>(B10-$B$3)^2</f>
        <v>4.0000000000000072E-4</v>
      </c>
      <c r="F10" s="5">
        <f>(C10-$C$3)^2</f>
        <v>0.43178276745665162</v>
      </c>
      <c r="G10" s="4">
        <f>(C10-($D$18+$C$18*B10))^2</f>
        <v>8.3350287074380365E-3</v>
      </c>
    </row>
    <row r="11" spans="1:9">
      <c r="A11" s="14">
        <v>0.27200000000000002</v>
      </c>
      <c r="B11" s="23">
        <v>0.53</v>
      </c>
      <c r="C11" s="4">
        <f>LN(A11)</f>
        <v>-1.3019532126861397</v>
      </c>
      <c r="D11" s="4">
        <f>(B11-$B$3)*(C11-$C$3)</f>
        <v>8.9278352282467541E-2</v>
      </c>
      <c r="E11" s="4">
        <f>(B11-$B$3)^2</f>
        <v>2.5000000000000044E-3</v>
      </c>
      <c r="F11" s="5">
        <f>(C11-$C$3)^2</f>
        <v>3.1882496745089455</v>
      </c>
      <c r="G11" s="4">
        <f>(C11-($D$18+$C$18*B11))^2</f>
        <v>7.2980089481197146E-3</v>
      </c>
    </row>
    <row r="12" spans="1:9">
      <c r="A12" s="14">
        <v>0.89600000000000002</v>
      </c>
      <c r="B12" s="23">
        <v>0.56000000000000005</v>
      </c>
      <c r="C12" s="4">
        <f>LN(A12)</f>
        <v>-0.10981486600720657</v>
      </c>
      <c r="D12" s="4">
        <f>(B12-$B$3)*(C12-$C$3)</f>
        <v>0.23821643138626281</v>
      </c>
      <c r="E12" s="4">
        <f>(B12-$B$3)^2</f>
        <v>6.4000000000000116E-3</v>
      </c>
      <c r="F12" s="5">
        <f>(C12-$C$3)^2</f>
        <v>8.8667294035009316</v>
      </c>
      <c r="G12" s="4">
        <f>(C12-($D$18+$C$18*B12))^2</f>
        <v>2.5240619213462228E-4</v>
      </c>
    </row>
    <row r="13" spans="1:9">
      <c r="A13" s="14">
        <v>4.4400000000000004</v>
      </c>
      <c r="B13" s="23">
        <v>0.6</v>
      </c>
      <c r="C13" s="4">
        <f>LN(A13)</f>
        <v>1.4906543764441336</v>
      </c>
      <c r="D13" s="4">
        <f>(B13-$B$3)*(C13-$C$3)</f>
        <v>0.54938095617355465</v>
      </c>
      <c r="E13" s="4">
        <f>(B13-$B$3)^2</f>
        <v>1.44E-2</v>
      </c>
      <c r="F13" s="5">
        <f>(C13-$C$3)^2</f>
        <v>20.95968298653953</v>
      </c>
      <c r="G13" s="4">
        <f>(C13-($D$18+$C$18*B13))^2</f>
        <v>7.7063118202099802E-3</v>
      </c>
    </row>
    <row r="15" spans="1:9">
      <c r="A15" s="21"/>
      <c r="C15" s="1"/>
      <c r="D15" s="1"/>
      <c r="E15" s="1"/>
      <c r="F15" s="1"/>
      <c r="G15" s="1"/>
      <c r="H15" s="1"/>
      <c r="I15" s="1"/>
    </row>
    <row r="16" spans="1:9">
      <c r="A16" s="21" t="s">
        <v>11</v>
      </c>
      <c r="C16" s="21" t="s">
        <v>12</v>
      </c>
      <c r="D16" s="1"/>
      <c r="E16" s="1"/>
      <c r="F16" s="1"/>
      <c r="G16" s="1"/>
      <c r="H16" s="1"/>
      <c r="I16" s="1"/>
    </row>
    <row r="17" spans="1:10">
      <c r="A17" s="10">
        <v>24</v>
      </c>
      <c r="C17" s="21" t="s">
        <v>13</v>
      </c>
      <c r="D17" s="21" t="s">
        <v>14</v>
      </c>
      <c r="E17" s="21" t="s">
        <v>15</v>
      </c>
      <c r="F17" s="21" t="s">
        <v>16</v>
      </c>
      <c r="G17" s="21" t="s">
        <v>17</v>
      </c>
      <c r="H17" s="7" t="s">
        <v>18</v>
      </c>
      <c r="I17" s="8" t="s">
        <v>20</v>
      </c>
      <c r="J17" s="10" t="s">
        <v>19</v>
      </c>
    </row>
    <row r="18" spans="1:10">
      <c r="A18" s="1"/>
      <c r="C18" s="15">
        <f>D3/E3</f>
        <v>37.419908611162214</v>
      </c>
      <c r="D18" s="15">
        <f>$C$3-C18*$B$3</f>
        <v>-21.049076391693351</v>
      </c>
      <c r="E18" s="15">
        <f>$G$18/SQRT($E$3)</f>
        <v>1.2691336381631293</v>
      </c>
      <c r="F18" s="15">
        <f>$G$18*SQRT((1/$A$3)+($B$3^2/$E$3))</f>
        <v>0.6169673595582652</v>
      </c>
      <c r="G18" s="15">
        <f>SQRT(($F$3-$C$18*$D$3)/($A$3-2))</f>
        <v>0.27630995110186385</v>
      </c>
      <c r="H18" s="9">
        <f>1.3806E-23*($A$17+273)*$C$18</f>
        <v>1.534359197108545E-19</v>
      </c>
      <c r="I18" s="9">
        <f>1.3806E-23*($A$17+273)*$E$18</f>
        <v>5.2039327255186072E-21</v>
      </c>
      <c r="J18" s="22">
        <f>$D$3^2/($E$3*$F$3)</f>
        <v>0.99314553739937927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Cremaldi</dc:creator>
  <cp:lastModifiedBy>Lucien Cremaldi</cp:lastModifiedBy>
  <dcterms:created xsi:type="dcterms:W3CDTF">2019-02-18T22:30:34Z</dcterms:created>
  <dcterms:modified xsi:type="dcterms:W3CDTF">2019-02-18T22:44:35Z</dcterms:modified>
</cp:coreProperties>
</file>